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441454e01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cc4ffa713e1748ee"/>
    <x:sheet xmlns:r="http://schemas.openxmlformats.org/officeDocument/2006/relationships" name="Estimate" sheetId="2" r:id="R63143eac3c74420d"/>
    <x:sheet xmlns:r="http://schemas.openxmlformats.org/officeDocument/2006/relationships" name="Financing" sheetId="3" r:id="R2162bac7deeb4c4e"/>
    <x:sheet xmlns:r="http://schemas.openxmlformats.org/officeDocument/2006/relationships" name="Billing" sheetId="4" r:id="Rac18264edc0b464e"/>
    <x:sheet xmlns:r="http://schemas.openxmlformats.org/officeDocument/2006/relationships" name="Sources" sheetId="5" r:id="R84a992763e6c4c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000"/>
    <x:numFmt numFmtId="201" formatCode="0%"/>
    <x:numFmt numFmtId="202" formatCode="0.0%"/>
    <x:numFmt numFmtId="203" formatCode="#,##0.00"/>
    <x:numFmt numFmtId="204" formatCode="$#,##0.00;($#,##0.00);&quot;—&quot;"/>
    <x:numFmt numFmtId="205" formatCode="0"/>
    <x:numFmt numFmtId="206" formatCode="0.00"/>
    <x:numFmt numFmtId="207" formatCode="yyyy-mm-dd"/>
  </x:numFmts>
  <x:fonts count="6">
    <x:font>
      <x:sz val="11"/>
      <x:name val="Carlito"/>
    </x:font>
    <x:font>
      <x:sz val="11"/>
      <x:name val="Arial"/>
    </x:font>
    <x:font>
      <x:b/>
      <x:sz val="18"/>
      <x:color rgb="FFFFFFFF"/>
      <x:name val="Arial"/>
    </x:font>
    <x:font>
      <x:b/>
      <x:sz val="11"/>
      <x:name val="Arial"/>
    </x:font>
    <x:font>
      <x:sz val="11"/>
      <x:color rgb="FF0000FF"/>
      <x:name val="Arial"/>
    </x:font>
    <x:font>
      <x:sz val="11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4C5A"/>
      </x:patternFill>
    </x:fill>
    <x:fill>
      <x:patternFill patternType="solid">
        <x:fgColor rgb="FFDDEDF1"/>
      </x:patternFill>
    </x:fill>
    <x:fill>
      <x:patternFill patternType="solid">
        <x:fgColor rgb="FFE8F3E8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 wrapText="1"/>
    </x:xf>
    <x:xf numFmtId="204" fontId="5" fillId="0" borderId="0" xfId="0" applyNumberFormat="1" applyFont="1" applyFill="1" applyBorder="1" applyAlignment="1">
      <x:alignment vertical="center" wrapText="1"/>
    </x:xf>
    <x:xf numFmtId="205" fontId="5" fillId="0" borderId="0" xfId="0" applyNumberFormat="1" applyFont="1" applyFill="1" applyBorder="1" applyAlignment="1">
      <x:alignment vertical="center" wrapText="1"/>
    </x:xf>
    <x:xf numFmtId="206" fontId="5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4" fontId="5" fillId="4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4" fontId="4" fillId="0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fda7daf154d9d" /><Relationship Type="http://schemas.openxmlformats.org/officeDocument/2006/relationships/theme" Target="/xl/theme/theme1.xml" Id="Rad64865d9943472c" /><Relationship Type="http://schemas.openxmlformats.org/officeDocument/2006/relationships/sharedStrings" Target="/xl/sharedStrings.xml" Id="R393d5b273df84dd4" /><Relationship Type="http://schemas.openxmlformats.org/officeDocument/2006/relationships/worksheet" Target="/xl/worksheets/sheet1.xml" Id="Rcc4ffa713e1748ee" /><Relationship Type="http://schemas.openxmlformats.org/officeDocument/2006/relationships/worksheet" Target="/xl/worksheets/sheet2.xml" Id="R63143eac3c74420d" /><Relationship Type="http://schemas.openxmlformats.org/officeDocument/2006/relationships/worksheet" Target="/xl/worksheets/sheet3.xml" Id="R2162bac7deeb4c4e" /><Relationship Type="http://schemas.openxmlformats.org/officeDocument/2006/relationships/worksheet" Target="/xl/worksheets/sheet4.xml" Id="Rac18264edc0b464e" /><Relationship Type="http://schemas.openxmlformats.org/officeDocument/2006/relationships/worksheet" Target="/xl/worksheets/sheet5.xml" Id="R84a992763e6c4c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0" hidden="0" customWidth="1"/>
    <x:col min="3" max="3" width="49" hidden="0" customWidth="1"/>
    <x:col min="4" max="4" width="49" hidden="0" customWidth="1"/>
  </x:cols>
  <x:sheetData>
    <x:row r="1" ht="30" customHeight="1">
      <x:c r="A1" s="4" t="str">
        <x:v>Solar calculation inputs</x:v>
      </x:c>
      <x:c r="B1" s="4"/>
      <x:c r="C1" s="4"/>
      <x:c r="D1" s="4"/>
    </x:row>
    <x:row r="2" ht="30" customHeight="1">
      <x:c r="A2" s="5" t="str">
        <x:v>Test model 2026-09-25.2. Baseline fingerprint eacc50ec. Reviewed September 25, 2026. Blue values are editable. Changing this workbook does not update the website.</x:v>
      </x:c>
      <x:c r="B2" s="5"/>
      <x:c r="C2" s="5"/>
      <x:c r="D2" s="5"/>
    </x:row>
    <x:row r="3" ht="30" customHeight="1">
      <x:c r="A3" s="5"/>
      <x:c r="B3" s="5"/>
      <x:c r="C3" s="5"/>
      <x:c r="D3" s="5"/>
    </x:row>
    <x:row r="4" ht="30" customHeight="1">
      <x:c r="A4" s="2"/>
      <x:c r="B4" s="2"/>
      <x:c r="C4" s="2"/>
      <x:c r="D4" s="2"/>
    </x:row>
    <x:row r="5" ht="30" customHeight="1">
      <x:c r="A5" s="8" t="str">
        <x:v>Assumption</x:v>
      </x:c>
      <x:c r="B5" s="8" t="str">
        <x:v>Value</x:v>
      </x:c>
      <x:c r="C5" s="8" t="str">
        <x:v>Unit</x:v>
      </x:c>
      <x:c r="D5" s="8" t="str">
        <x:v>Evidence and limitations</x:v>
      </x:c>
    </x:row>
    <x:row r="6" ht="48" customHeight="1">
      <x:c r="A6" s="5" t="str">
        <x:v>Annual electricity use</x:v>
      </x:c>
      <x:c r="B6" s="10" t="n">
        <x:v>8848</x:v>
      </x:c>
      <x:c r="C6" s="5" t="str">
        <x:v>kWh/year</x:v>
      </x:c>
      <x:c r="D6" s="5" t="str">
        <x:v>Illustrative Rye example, not a supplied household bill.</x:v>
      </x:c>
    </x:row>
    <x:row r="7" ht="48" customHeight="1">
      <x:c r="A7" s="5" t="str">
        <x:v>Panel rating</x:v>
      </x:c>
      <x:c r="B7" s="10" t="n">
        <x:v>440</x:v>
      </x:c>
      <x:c r="C7" s="5" t="str">
        <x:v>W/panel</x:v>
      </x:c>
      <x:c r="D7" s="5" t="str">
        <x:v>Model assumption; verify equipment quote.</x:v>
      </x:c>
    </x:row>
    <x:row r="8" ht="48" customHeight="1">
      <x:c r="A8" s="5" t="str">
        <x:v>Production factor</x:v>
      </x:c>
      <x:c r="B8" s="10" t="n">
        <x:v>1.2</x:v>
      </x:c>
      <x:c r="C8" s="5" t="str">
        <x:v>kWh per W per year</x:v>
      </x:c>
      <x:c r="D8" s="5" t="str">
        <x:v>South, minimal shade. Requires location, tilt, azimuth and loss validation.</x:v>
      </x:c>
    </x:row>
    <x:row r="9" ht="48" customHeight="1">
      <x:c r="A9" s="5" t="str">
        <x:v>Target annual offset</x:v>
      </x:c>
      <x:c r="B9" s="11" t="n">
        <x:v>1</x:v>
      </x:c>
      <x:c r="C9" s="5" t="str">
        <x:v>fraction</x:v>
      </x:c>
      <x:c r="D9" s="5" t="str">
        <x:v>Annual energy target does not guarantee full bill offset.</x:v>
      </x:c>
    </x:row>
    <x:row r="10" ht="48" customHeight="1">
      <x:c r="A10" s="5" t="str">
        <x:v>Installed cash price</x:v>
      </x:c>
      <x:c r="B10" s="10" t="n">
        <x:v>2.85</x:v>
      </x:c>
      <x:c r="C10" s="5" t="str">
        <x:v>$/W</x:v>
      </x:c>
      <x:c r="D10" s="5" t="str">
        <x:v>User-selected. Dated installer quote not supplied.</x:v>
      </x:c>
    </x:row>
    <x:row r="11" ht="48" customHeight="1">
      <x:c r="A11" s="5" t="str">
        <x:v>Selected electricity rate</x:v>
      </x:c>
      <x:c r="B11" s="10" t="n">
        <x:v>0.258336</x:v>
      </x:c>
      <x:c r="C11" s="5" t="str">
        <x:v>$/kWh</x:v>
      </x:c>
      <x:c r="D11" s="5" t="str">
        <x:v>User-selected 25.8336 cents. See Sources for the current rate discrepancy.</x:v>
      </x:c>
    </x:row>
    <x:row r="12" ht="48" customHeight="1">
      <x:c r="A12" s="5" t="str">
        <x:v>Monthly customer charge</x:v>
      </x:c>
      <x:c r="B12" s="10" t="n">
        <x:v>19.81</x:v>
      </x:c>
      <x:c r="C12" s="5" t="str">
        <x:v>$/month</x:v>
      </x:c>
      <x:c r="D12" s="5" t="str">
        <x:v>Eversource Rate R summary dated August 1, 2026.</x:v>
      </x:c>
    </x:row>
    <x:row r="13" ht="48" customHeight="1">
      <x:c r="A13" s="5" t="str">
        <x:v>Loan annual interest rate</x:v>
      </x:c>
      <x:c r="B13" s="12" t="n">
        <x:v>0.065</x:v>
      </x:c>
      <x:c r="C13" s="5" t="str">
        <x:v>fraction</x:v>
      </x:c>
      <x:c r="D13" s="5" t="str">
        <x:v>Illustrative fixed-rate amortizing loan; provider terms unverified.</x:v>
      </x:c>
    </x:row>
    <x:row r="14" ht="48" customHeight="1">
      <x:c r="A14" s="5" t="str">
        <x:v>Loan duration</x:v>
      </x:c>
      <x:c r="B14" s="10" t="n">
        <x:v>180</x:v>
      </x:c>
      <x:c r="C14" s="5" t="str">
        <x:v>months</x:v>
      </x:c>
      <x:c r="D14" s="5" t="str">
        <x:v>Illustrative 15-year term.</x:v>
      </x:c>
    </x:row>
    <x:row r="15" ht="48" customHeight="1">
      <x:c r="A15" s="5" t="str">
        <x:v>REC price</x:v>
      </x:c>
      <x:c r="B15" s="10" t="n">
        <x:v>33</x:v>
      </x:c>
      <x:c r="C15" s="5" t="str">
        <x:v>$/REC</x:v>
      </x:c>
      <x:c r="D15" s="5" t="str">
        <x:v>User-selected $33. Confirm class, vintage, contract and current payment.</x:v>
      </x:c>
    </x:row>
    <x:row r="16" ht="48" customHeight="1">
      <x:c r="A16" s="5" t="str">
        <x:v>Traditional lease payment</x:v>
      </x:c>
      <x:c r="B16" s="10" t="n">
        <x:v>130</x:v>
      </x:c>
      <x:c r="C16" s="5" t="str">
        <x:v>$/month</x:v>
      </x:c>
      <x:c r="D16" s="5" t="str">
        <x:v>Illustrative; no escalator. Dated provider quote not supplied.</x:v>
      </x:c>
    </x:row>
    <x:row r="17" ht="48" customHeight="1">
      <x:c r="A17" s="5" t="str">
        <x:v>Traditional lease duration</x:v>
      </x:c>
      <x:c r="B17" s="10" t="n">
        <x:v>300</x:v>
      </x:c>
      <x:c r="C17" s="5" t="str">
        <x:v>months</x:v>
      </x:c>
      <x:c r="D17" s="5" t="str">
        <x:v>Illustrative 25-year contract; confirm exit/transfer terms.</x:v>
      </x:c>
    </x:row>
    <x:row r="18" ht="48" customHeight="1">
      <x:c r="A18" s="5" t="str">
        <x:v>Prepaid lease payment</x:v>
      </x:c>
      <x:c r="B18" s="10" t="n">
        <x:v>18922</x:v>
      </x:c>
      <x:c r="C18" s="5" t="str">
        <x:v>$ upfront</x:v>
      </x:c>
      <x:c r="D18" s="5" t="str">
        <x:v>Illustrative provider price; source quote not supplied.</x:v>
      </x:c>
    </x:row>
    <x:row r="19" ht="48" customHeight="1">
      <x:c r="A19" s="5" t="str">
        <x:v>Year-five buyout</x:v>
      </x:c>
      <x:c r="B19" s="10" t="n">
        <x:v>1000</x:v>
      </x:c>
      <x:c r="C19" s="5" t="str">
        <x:v>$ at year 5</x:v>
      </x:c>
      <x:c r="D19" s="5" t="str">
        <x:v>Separate cash payment, not included in the financed principal.</x:v>
      </x:c>
    </x:row>
    <x:row r="20" ht="48" customHeight="1">
      <x:c r="A20" s="5" t="str">
        <x:v>Buyout timing</x:v>
      </x:c>
      <x:c r="B20" s="10" t="n">
        <x:v>5</x:v>
      </x:c>
      <x:c r="C20" s="5" t="str">
        <x:v>years</x:v>
      </x:c>
      <x:c r="D20" s="5" t="str">
        <x:v>REC rights after buyout are assumed, not contract-verified.</x:v>
      </x:c>
    </x:row>
    <x:row r="21" ht="48" customHeight="1">
      <x:c r="A21" s="5" t="str">
        <x:v>Remaining variable utility bill</x:v>
      </x:c>
      <x:c r="B21" s="10" t="n">
        <x:v>0</x:v>
      </x:c>
      <x:c r="C21" s="5" t="str">
        <x:v>$/month</x:v>
      </x:c>
      <x:c r="D21" s="5" t="str">
        <x:v>Full-offset baseline only. Increase to test residual charges.</x:v>
      </x:c>
    </x:row>
    <x:row r="22" ht="48" customHeight="1">
      <x:c r="A22" s="5" t="str">
        <x:v>First comparison horizon</x:v>
      </x:c>
      <x:c r="B22" s="10" t="n">
        <x:v>10</x:v>
      </x:c>
      <x:c r="C22" s="5" t="str">
        <x:v>years</x:v>
      </x:c>
      <x:c r="D22" s="5" t="str">
        <x:v>Payments within this period; remaining obligations are separate.</x:v>
      </x:c>
    </x:row>
    <x:row r="23" ht="48" customHeight="1">
      <x:c r="A23" s="5" t="str">
        <x:v>Full comparison horizon</x:v>
      </x:c>
      <x:c r="B23" s="10" t="n">
        <x:v>25</x:v>
      </x:c>
      <x:c r="C23" s="5" t="str">
        <x:v>years</x:v>
      </x:c>
      <x:c r="D23" s="5" t="str">
        <x:v>Constant rates, payments and annual REC output assumed.</x:v>
      </x:c>
    </x:row>
    <x:row r="24" ht="30" customHeight="1">
      <x:c r="A24" s="5"/>
      <x:c r="B24" s="5"/>
      <x:c r="C24" s="5"/>
      <x:c r="D24" s="5"/>
    </x:row>
    <x:row r="25" ht="30" customHeight="1">
      <x:c r="A25" s="5" t="str">
        <x:v>No incentives, rate inflation, degradation, replacement equipment, maintenance, taxes, discounting or contract termination charges are modeled. These omissions can materially change long-term costs.</x:v>
      </x:c>
      <x:c r="B25" s="5"/>
      <x:c r="C25" s="5"/>
      <x:c r="D25" s="5"/>
    </x:row>
    <x:row r="26" ht="30" customHeight="1">
      <x:c r="A26" s="5"/>
      <x:c r="B26" s="5"/>
      <x:c r="C26" s="5"/>
      <x:c r="D26" s="5"/>
    </x:row>
    <x:row r="27" ht="30" customHeight="1">
      <x:c r="A27" s="5"/>
      <x:c r="B27" s="5"/>
      <x:c r="C27" s="5"/>
      <x:c r="D27" s="5"/>
    </x:row>
    <x:row r="28" ht="30" customHeight="1">
      <x:c r="A28" s="5" t="str">
        <x:v>Keep the original baseline to reconcile to the test website. Sources distinguishes reviewed evidence from assumptions that still need documents.</x:v>
      </x:c>
      <x:c r="B28" s="5"/>
      <x:c r="C28" s="5"/>
      <x:c r="D28" s="5"/>
    </x:row>
    <x:row r="29" ht="30" customHeight="1">
      <x:c r="A29" s="5"/>
      <x:c r="B29" s="5"/>
      <x:c r="C29" s="5"/>
      <x:c r="D29" s="5"/>
    </x:row>
  </x:sheetData>
  <x:mergeCells>
    <x:mergeCell ref="A1:D1"/>
    <x:mergeCell ref="A2:D3"/>
    <x:mergeCell ref="A25:D26"/>
    <x:mergeCell ref="A28:D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0" hidden="0" customWidth="1"/>
    <x:col min="3" max="3" width="49" hidden="0" customWidth="1"/>
  </x:cols>
  <x:sheetData>
    <x:row r="1" ht="30" customHeight="1">
      <x:c r="A1" s="4" t="str">
        <x:v>Monthly solar estimate</x:v>
      </x:c>
      <x:c r="B1" s="4"/>
      <x:c r="C1" s="4"/>
    </x:row>
    <x:row r="2" ht="30" customHeight="1">
      <x:c r="A2" s="5" t="str">
        <x:v>Full-offset illustrative baseline, including average REC income. Loan and utility payments remain payable in full; REC income is separate.</x:v>
      </x:c>
      <x:c r="B2" s="5"/>
      <x:c r="C2" s="5"/>
    </x:row>
    <x:row r="3" ht="30" customHeight="1">
      <x:c r="A3" s="5"/>
      <x:c r="B3" s="5"/>
      <x:c r="C3" s="5"/>
    </x:row>
    <x:row r="4" ht="30" customHeight="1">
      <x:c r="A4" s="2"/>
      <x:c r="B4" s="2"/>
      <x:c r="C4" s="2"/>
    </x:row>
    <x:row r="5" ht="30" customHeight="1">
      <x:c r="A5" s="8" t="str">
        <x:v>Calculation</x:v>
      </x:c>
      <x:c r="B5" s="8" t="str">
        <x:v>Result</x:v>
      </x:c>
      <x:c r="C5" s="8" t="str">
        <x:v>Meaning</x:v>
      </x:c>
    </x:row>
    <x:row r="6" ht="30" customHeight="1">
      <x:c r="A6" s="5" t="str">
        <x:v>Panels required</x:v>
      </x:c>
      <x:c r="B6" s="14" t="n">
        <x:f>ROUNDUP(Inputs!B6*Inputs!B9/(Inputs!B7*Inputs!B8),0)</x:f>
        <x:v>17</x:v>
      </x:c>
      <x:c r="C6" s="5" t="str">
        <x:v>Rounded up to a whole panel.</x:v>
      </x:c>
    </x:row>
    <x:row r="7" ht="30" customHeight="1">
      <x:c r="A7" s="5" t="str">
        <x:v>System size</x:v>
      </x:c>
      <x:c r="B7" s="14" t="n">
        <x:f>B6*Inputs!B7/1000</x:f>
        <x:v>7.48</x:v>
      </x:c>
      <x:c r="C7" s="5" t="str">
        <x:v>kW DC</x:v>
      </x:c>
    </x:row>
    <x:row r="8" ht="30" customHeight="1">
      <x:c r="A8" s="5" t="str">
        <x:v>Annual generation</x:v>
      </x:c>
      <x:c r="B8" s="14" t="n">
        <x:f>B6*Inputs!B7*Inputs!B8</x:f>
        <x:v>8976</x:v>
      </x:c>
      <x:c r="C8" s="5" t="str">
        <x:v>kWh/year</x:v>
      </x:c>
    </x:row>
    <x:row r="9" ht="30" customHeight="1">
      <x:c r="A9" s="5" t="str">
        <x:v>Annual energy offset</x:v>
      </x:c>
      <x:c r="B9" s="15" t="n">
        <x:f>B8/Inputs!B6</x:f>
        <x:v>1.0144665461121158</x:v>
      </x:c>
      <x:c r="C9" s="5" t="str">
        <x:v>Generation divided by annual use.</x:v>
      </x:c>
    </x:row>
    <x:row r="10" ht="30" customHeight="1">
      <x:c r="A10" s="5" t="str">
        <x:v>Installed price</x:v>
      </x:c>
      <x:c r="B10" s="16" t="n">
        <x:f>B7*1000*Inputs!B10</x:f>
        <x:v>21318</x:v>
      </x:c>
      <x:c r="C10" s="5" t="str">
        <x:v>Before any incentives.</x:v>
      </x:c>
    </x:row>
    <x:row r="11" ht="30" customHeight="1">
      <x:c r="A11" s="5" t="str">
        <x:v>Current monthly utility bill</x:v>
      </x:c>
      <x:c r="B11" s="16" t="n">
        <x:f>Inputs!B6*Inputs!B11/12+Inputs!B12</x:f>
        <x:v>210.289744</x:v>
      </x:c>
      <x:c r="C11" s="5" t="str">
        <x:v>Selected variable rate plus customer charge.</x:v>
      </x:c>
    </x:row>
    <x:row r="12" ht="30" customHeight="1">
      <x:c r="A12" s="5" t="str">
        <x:v>Monthly loan payment</x:v>
      </x:c>
      <x:c r="B12" s="16" t="n">
        <x:f>IF(Inputs!B13=0,B10/Inputs!B14,B10*(Inputs!B13/12)/(1-(1+Inputs!B13/12)^(-Inputs!B14)))</x:f>
        <x:v>185.7026681340924</x:v>
      </x:c>
      <x:c r="C12" s="5" t="str">
        <x:v>Fixed payment over the selected loan duration.</x:v>
      </x:c>
    </x:row>
    <x:row r="13" ht="30" customHeight="1">
      <x:c r="A13" s="5" t="str">
        <x:v>Whole RECs per year</x:v>
      </x:c>
      <x:c r="B13" s="17" t="n">
        <x:f>ROUNDDOWN(B8/1000,0)</x:f>
        <x:v>8</x:v>
      </x:c>
      <x:c r="C13" s="5" t="str">
        <x:v>Generation divided by 1,000, rounded down.</x:v>
      </x:c>
    </x:row>
    <x:row r="14" ht="30" customHeight="1">
      <x:c r="A14" s="5" t="str">
        <x:v>Annual REC income</x:v>
      </x:c>
      <x:c r="B14" s="16" t="n">
        <x:f>B13*Inputs!B15</x:f>
        <x:v>264</x:v>
      </x:c>
      <x:c r="C14" s="5" t="str">
        <x:v>Assumes REC eligibility and ownership rights.</x:v>
      </x:c>
    </x:row>
    <x:row r="15" ht="30" customHeight="1">
      <x:c r="A15" s="5" t="str">
        <x:v>Monthly REC average</x:v>
      </x:c>
      <x:c r="B15" s="16" t="n">
        <x:f>B14/12</x:f>
        <x:v>22</x:v>
      </x:c>
      <x:c r="C15" s="5" t="str">
        <x:v>Not a monthly reduction in the utility bill.</x:v>
      </x:c>
    </x:row>
    <x:row r="16" ht="30" customHeight="1">
      <x:c r="A16" s="5" t="str">
        <x:v>Post-solar cash payments</x:v>
      </x:c>
      <x:c r="B16" s="16" t="n">
        <x:f>B12+Inputs!B12+Inputs!B21</x:f>
        <x:v>205.5126681340924</x:v>
      </x:c>
      <x:c r="C16" s="5" t="str">
        <x:v>Loan + fixed charge + residual variable bill; excludes RECs.</x:v>
      </x:c>
    </x:row>
    <x:row r="17" ht="30" customHeight="1">
      <x:c r="A17" s="19" t="str">
        <x:v>Net monthly cost including RECs</x:v>
      </x:c>
      <x:c r="B17" s="20" t="n">
        <x:f>B16-B15</x:f>
        <x:v>183.5126681340924</x:v>
      </x:c>
      <x:c r="C17" s="19" t="str">
        <x:v>Cash payments minus average REC income.</x:v>
      </x:c>
    </x:row>
    <x:row r="18" ht="30" customHeight="1">
      <x:c r="A18" s="19" t="str">
        <x:v>Monthly savings including RECs</x:v>
      </x:c>
      <x:c r="B18" s="20" t="n">
        <x:f>B11-B17</x:f>
        <x:v>26.77707586590762</x:v>
      </x:c>
      <x:c r="C18" s="19" t="str">
        <x:v>Current utility bill minus net solar cost.</x:v>
      </x:c>
    </x:row>
    <x:row r="19" ht="30" customHeight="1">
      <x:c r="A19" s="5" t="str">
        <x:v>Annual avoided variable charges</x:v>
      </x:c>
      <x:c r="B19" s="16" t="n">
        <x:f>Inputs!B6*Inputs!B11-Inputs!B21*12</x:f>
        <x:v>2285.7569280000002</x:v>
      </x:c>
      <x:c r="C19" s="5" t="str">
        <x:v>Used for simple cash payback, excluding RECs.</x:v>
      </x:c>
    </x:row>
    <x:row r="20" ht="30" customHeight="1">
      <x:c r="A20" s="5" t="str">
        <x:v>Simple cash payback</x:v>
      </x:c>
      <x:c r="B20" s="18" t="n">
        <x:f>IF(B19&gt;0,B10/B19,"No payback")</x:f>
        <x:v>9.326451005730036</x:v>
      </x:c>
      <x:c r="C20" s="5" t="str">
        <x:v>Years; constant costs and generation, excludes RECs.</x:v>
      </x:c>
    </x:row>
    <x:row r="21" ht="30" customHeight="1">
      <x:c r="A21" s="5" t="str">
        <x:v>Simple prepaid cash payback</x:v>
      </x:c>
      <x:c r="B21" s="18" t="n">
        <x:f>IF(B19&gt;0,(Inputs!B18+Inputs!B19)/B19,"No payback")</x:f>
        <x:v>8.71571239966947</x:v>
      </x:c>
      <x:c r="C21" s="5" t="str">
        <x:v>Years; prepaid + buyout, excludes RECs and financing.</x:v>
      </x:c>
    </x:row>
    <x:row r="22" ht="30" customHeight="1">
      <x:c r="A22" s="5"/>
      <x:c r="B22" s="5"/>
      <x:c r="C22" s="5"/>
    </x:row>
    <x:row r="23" ht="30" customHeight="1">
      <x:c r="A23" s="5" t="str">
        <x:v>Annual generation above annual use does not establish the actual utility bill after solar. Monthly imports, exports, net-metering rules and rate eligibility must be checked.</x:v>
      </x:c>
      <x:c r="B23" s="5"/>
      <x:c r="C23" s="5"/>
    </x:row>
    <x:row r="24" ht="30" customHeight="1">
      <x:c r="A24" s="5"/>
      <x:c r="B24" s="5"/>
      <x:c r="C24" s="5"/>
    </x:row>
    <x:row r="25" ht="30" customHeight="1">
      <x:c r="A25" s="5"/>
      <x:c r="B25" s="5"/>
      <x:c r="C25" s="5"/>
    </x:row>
    <x:row r="26" ht="30" customHeight="1">
      <x:c r="A26" s="5"/>
      <x:c r="B26" s="5"/>
      <x:c r="C26" s="5"/>
    </x:row>
  </x:sheetData>
  <x:mergeCells>
    <x:mergeCell ref="A1:C1"/>
    <x:mergeCell ref="A2:C3"/>
    <x:mergeCell ref="A23:C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0" customHeight="1">
      <x:c r="A1" s="4" t="str">
        <x:v>Financing obligations</x:v>
      </x:c>
      <x:c r="B1" s="4"/>
      <x:c r="C1" s="4"/>
      <x:c r="D1" s="4"/>
      <x:c r="E1" s="4"/>
    </x:row>
    <x:row r="2" ht="30" customHeight="1">
      <x:c r="A2" s="5" t="str">
        <x:v>USD. Payment comparisons exclude RECs and include the fixed charge and selected residual variable bill. Remaining principal and scheduled payments are alternative measures; do not add them together.</x:v>
      </x:c>
      <x:c r="B2" s="5"/>
      <x:c r="C2" s="5"/>
      <x:c r="D2" s="5"/>
      <x:c r="E2" s="5"/>
    </x:row>
    <x:row r="3" ht="30" customHeight="1">
      <x:c r="A3" s="5"/>
      <x:c r="B3" s="5"/>
      <x:c r="C3" s="5"/>
      <x:c r="D3" s="5"/>
      <x:c r="E3" s="5"/>
    </x:row>
    <x:row r="4" ht="30" customHeight="1">
      <x:c r="A4" s="2"/>
      <x:c r="B4" s="2"/>
      <x:c r="C4" s="2"/>
      <x:c r="D4" s="2"/>
      <x:c r="E4" s="2"/>
    </x:row>
    <x:row r="5" ht="30" customHeight="1">
      <x:c r="A5" s="8" t="str">
        <x:v>Calculation</x:v>
      </x:c>
      <x:c r="B5" s="8" t="str">
        <x:v>Cash purchase</x:v>
      </x:c>
      <x:c r="C5" s="8" t="str">
        <x:v>Purchase loan</x:v>
      </x:c>
      <x:c r="D5" s="8" t="str">
        <x:v>Traditional lease</x:v>
      </x:c>
      <x:c r="E5" s="8" t="str">
        <x:v>Prepaid, financed</x:v>
      </x:c>
    </x:row>
    <x:row r="6" ht="56" customHeight="1">
      <x:c r="A6" s="5" t="str">
        <x:v>Initial principal or upfront price</x:v>
      </x:c>
      <x:c r="B6" s="16" t="n">
        <x:f>Estimate!B10</x:f>
        <x:v>21318</x:v>
      </x:c>
      <x:c r="C6" s="16" t="n">
        <x:f>Estimate!B10</x:f>
        <x:v>21318</x:v>
      </x:c>
      <x:c r="D6" s="16" t="n">
        <x:f>0</x:f>
        <x:v>0</x:v>
      </x:c>
      <x:c r="E6" s="16" t="n">
        <x:f>Inputs!B18</x:f>
        <x:v>18922</x:v>
      </x:c>
    </x:row>
    <x:row r="7" ht="56" customHeight="1">
      <x:c r="A7" s="5" t="str">
        <x:v>Monthly financing / lease payment</x:v>
      </x:c>
      <x:c r="B7" s="16" t="n">
        <x:f>0</x:f>
        <x:v>0</x:v>
      </x:c>
      <x:c r="C7" s="16" t="n">
        <x:f>Estimate!B12</x:f>
        <x:v>185.7026681340924</x:v>
      </x:c>
      <x:c r="D7" s="16" t="n">
        <x:f>Inputs!B16</x:f>
        <x:v>130</x:v>
      </x:c>
      <x:c r="E7" s="16" t="n">
        <x:f>IF(Inputs!B13=0,E6/Inputs!B14,E6*(Inputs!B13/12)/(1-(1+Inputs!B13/12)^(-Inputs!B14)))</x:f>
        <x:v>164.8309356615675</x:v>
      </x:c>
    </x:row>
    <x:row r="8" ht="56" customHeight="1">
      <x:c r="A8" s="5" t="str">
        <x:v>Separate year-five cash buyout</x:v>
      </x:c>
      <x:c r="B8" s="16" t="n">
        <x:f>0</x:f>
        <x:v>0</x:v>
      </x:c>
      <x:c r="C8" s="16" t="n">
        <x:f>0</x:f>
        <x:v>0</x:v>
      </x:c>
      <x:c r="D8" s="16" t="n">
        <x:f>0</x:f>
        <x:v>0</x:v>
      </x:c>
      <x:c r="E8" s="16" t="n">
        <x:f>Inputs!B19</x:f>
        <x:v>1000</x:v>
      </x:c>
    </x:row>
    <x:row r="9" ht="56" customHeight="1">
      <x:c r="A9" s="19" t="str">
        <x:v>Payments in first 10 years, excluding RECs</x:v>
      </x:c>
      <x:c r="B9" s="20" t="n">
        <x:f>B6+(Inputs!B12+Inputs!B21)*Inputs!B22*12</x:f>
        <x:v>23695.2</x:v>
      </x:c>
      <x:c r="C9" s="20" t="n">
        <x:f>C7*MIN(Inputs!B14,Inputs!B22*12)+(Inputs!B12+Inputs!B21)*Inputs!B22*12</x:f>
        <x:v>24661.52017609109</x:v>
      </x:c>
      <x:c r="D9" s="20" t="n">
        <x:f>D7*MIN(Inputs!B17,Inputs!B22*12)+(Inputs!B12+Inputs!B21)*Inputs!B22*12</x:f>
        <x:v>17977.2</x:v>
      </x:c>
      <x:c r="E9" s="20" t="n">
        <x:f>E7*MIN(Inputs!B14,Inputs!B22*12)+(Inputs!B12+Inputs!B21)*Inputs!B22*12+IF(Inputs!B22&gt;=Inputs!B20,E8,0)</x:f>
        <x:v>23156.912279388103</x:v>
      </x:c>
    </x:row>
    <x:row r="10" ht="56" customHeight="1">
      <x:c r="A10" s="5" t="str">
        <x:v>Principal remaining after 10 years</x:v>
      </x:c>
      <x:c r="B10" s="16" t="n">
        <x:f>0</x:f>
        <x:v>0</x:v>
      </x:c>
      <x:c r="C10" s="16" t="n">
        <x:f>MAX(0,IF(Inputs!B13=0,C6-C7*Inputs!B22*12,C6*(1+Inputs!B13/12)^(Inputs!B22*12)-C7*((1+Inputs!B13/12)^(Inputs!B22*12)-1)/(Inputs!B13/12)))</x:f>
        <x:v>9491.018163520715</x:v>
      </x:c>
      <x:c r="D10" s="16" t="n">
        <x:f>0</x:f>
        <x:v>0</x:v>
      </x:c>
      <x:c r="E10" s="16" t="n">
        <x:f>MAX(0,IF(Inputs!B13=0,E6-E7*Inputs!B22*12,E6*(1+Inputs!B13/12)^(Inputs!B22*12)-E7*((1+Inputs!B13/12)^(Inputs!B22*12)-1)/(Inputs!B13/12)))</x:f>
        <x:v>8424.291476223803</x:v>
      </x:c>
    </x:row>
    <x:row r="11" ht="56" customHeight="1">
      <x:c r="A11" s="5" t="str">
        <x:v>Scheduled payments after year 10, excluding utility charges</x:v>
      </x:c>
      <x:c r="B11" s="16" t="n">
        <x:f>0</x:f>
        <x:v>0</x:v>
      </x:c>
      <x:c r="C11" s="16" t="n">
        <x:f>C7*MAX(0,Inputs!B14-Inputs!B22*12)</x:f>
        <x:v>11142.160088045544</x:v>
      </x:c>
      <x:c r="D11" s="16" t="n">
        <x:f>D7*MAX(0,Inputs!B17-Inputs!B22*12)</x:f>
        <x:v>23400</x:v>
      </x:c>
      <x:c r="E11" s="16" t="n">
        <x:f>E7*MAX(0,Inputs!B14-Inputs!B22*12)</x:f>
        <x:v>9889.856139694051</x:v>
      </x:c>
    </x:row>
    <x:row r="12" ht="56" customHeight="1">
      <x:c r="A12" s="19" t="str">
        <x:v>Payments over 25 years, excluding RECs</x:v>
      </x:c>
      <x:c r="B12" s="20" t="n">
        <x:f>B6+(Inputs!B12+Inputs!B21)*Inputs!B23*12</x:f>
        <x:v>27261</x:v>
      </x:c>
      <x:c r="C12" s="20" t="n">
        <x:f>C7*MIN(Inputs!B14,Inputs!B23*12)+(Inputs!B12+Inputs!B21)*Inputs!B23*12</x:f>
        <x:v>39369.48026413663</x:v>
      </x:c>
      <x:c r="D12" s="20" t="n">
        <x:f>D7*MIN(Inputs!B17,Inputs!B23*12)+(Inputs!B12+Inputs!B21)*Inputs!B23*12</x:f>
        <x:v>44943</x:v>
      </x:c>
      <x:c r="E12" s="20" t="n">
        <x:f>E7*MIN(Inputs!B14,Inputs!B23*12)+(Inputs!B12+Inputs!B21)*Inputs!B23*12+IF(Inputs!B23&gt;=Inputs!B20,E8,0)</x:f>
        <x:v>36612.56841908215</x:v>
      </x:c>
    </x:row>
    <x:row r="13" ht="56" customHeight="1">
      <x:c r="A13" s="5" t="str">
        <x:v>REC income in first 10 years</x:v>
      </x:c>
      <x:c r="B13" s="16" t="n">
        <x:f>Estimate!B14*Inputs!B22</x:f>
        <x:v>2640</x:v>
      </x:c>
      <x:c r="C13" s="16" t="n">
        <x:f>B13</x:f>
        <x:v>2640</x:v>
      </x:c>
      <x:c r="D13" s="16" t="n">
        <x:f>0</x:f>
        <x:v>0</x:v>
      </x:c>
      <x:c r="E13" s="16" t="n">
        <x:f>Estimate!B14*MAX(0,Inputs!B22-Inputs!B20)</x:f>
        <x:v>1320</x:v>
      </x:c>
    </x:row>
    <x:row r="14" ht="56" customHeight="1">
      <x:c r="A14" s="5" t="str">
        <x:v>10-year payments less assumed RECs</x:v>
      </x:c>
      <x:c r="B14" s="16" t="n">
        <x:f>B9-B13</x:f>
        <x:v>21055.2</x:v>
      </x:c>
      <x:c r="C14" s="16" t="n">
        <x:f>C9-C13</x:f>
        <x:v>22021.52017609109</x:v>
      </x:c>
      <x:c r="D14" s="16" t="n">
        <x:f>D9-D13</x:f>
        <x:v>17977.2</x:v>
      </x:c>
      <x:c r="E14" s="16" t="n">
        <x:f>E9-E13</x:f>
        <x:v>21836.912279388103</x:v>
      </x:c>
    </x:row>
    <x:row r="15" ht="56" customHeight="1">
      <x:c r="A15" s="5" t="str">
        <x:v>REC income over 25 years</x:v>
      </x:c>
      <x:c r="B15" s="16" t="n">
        <x:f>Estimate!B14*Inputs!B23</x:f>
        <x:v>6600</x:v>
      </x:c>
      <x:c r="C15" s="16" t="n">
        <x:f>B15</x:f>
        <x:v>6600</x:v>
      </x:c>
      <x:c r="D15" s="16" t="n">
        <x:f>0</x:f>
        <x:v>0</x:v>
      </x:c>
      <x:c r="E15" s="16" t="n">
        <x:f>Estimate!B14*MAX(0,Inputs!B23-Inputs!B20)</x:f>
        <x:v>5280</x:v>
      </x:c>
    </x:row>
    <x:row r="16" ht="56" customHeight="1">
      <x:c r="A16" s="5" t="str">
        <x:v>25-year payments less assumed RECs</x:v>
      </x:c>
      <x:c r="B16" s="16" t="n">
        <x:f>B12-B15</x:f>
        <x:v>20661</x:v>
      </x:c>
      <x:c r="C16" s="16" t="n">
        <x:f>C12-C15</x:f>
        <x:v>32769.48026413663</x:v>
      </x:c>
      <x:c r="D16" s="16" t="n">
        <x:f>D12-D15</x:f>
        <x:v>44943</x:v>
      </x:c>
      <x:c r="E16" s="16" t="n">
        <x:f>E12-E15</x:f>
        <x:v>31332.56841908215</x:v>
      </x:c>
    </x:row>
    <x:row r="17" ht="56" customHeight="1">
      <x:c r="A17" s="5" t="str">
        <x:v>Cash sale or transfer implications</x:v>
      </x:c>
      <x:c r="B17" s="5" t="str">
        <x:v>System owned</x:v>
      </x:c>
      <x:c r="C17" s="5" t="str">
        <x:v>Loan payoff or approved transfer</x:v>
      </x:c>
      <x:c r="D17" s="5" t="str">
        <x:v>Exit cost is contract-dependent; $0 loan principal does not mean no obligation</x:v>
      </x:c>
      <x:c r="E17" s="5" t="str">
        <x:v>Buyout must be completed; loan still outstanding</x:v>
      </x:c>
    </x:row>
    <x:row r="18" ht="56" customHeight="1">
      <x:c r="A18" s="5" t="str">
        <x:v>Recurring payments excluding RECs</x:v>
      </x:c>
      <x:c r="B18" s="21" t="n">
        <x:f>Inputs!B12+Inputs!B21</x:f>
        <x:v>19.81</x:v>
      </x:c>
      <x:c r="C18" s="21" t="n">
        <x:f>B18+C7</x:f>
        <x:v>205.5126681340924</x:v>
      </x:c>
      <x:c r="D18" s="21" t="n">
        <x:f>B18+D7</x:f>
        <x:v>149.81</x:v>
      </x:c>
      <x:c r="E18" s="21" t="n">
        <x:f>B18+E7</x:f>
        <x:v>184.6409356615675</x:v>
      </x:c>
    </x:row>
    <x:row r="19" ht="56" customHeight="1">
      <x:c r="A19" s="5" t="str">
        <x:v>Recurring net cost including RECs</x:v>
      </x:c>
      <x:c r="B19" s="21" t="n">
        <x:f>B18-Estimate!B15</x:f>
        <x:v>-2.1900000000000013</x:v>
      </x:c>
      <x:c r="C19" s="21" t="n">
        <x:f>C18-Estimate!B15</x:f>
        <x:v>183.5126681340924</x:v>
      </x:c>
      <x:c r="D19" s="21" t="n">
        <x:f>D18</x:f>
        <x:v>149.81</x:v>
      </x:c>
      <x:c r="E19" s="21" t="n">
        <x:f>E18</x:f>
        <x:v>184.6409356615675</x:v>
      </x:c>
    </x:row>
    <x:row r="20" ht="30" customHeight="1">
      <x:c r="A20" s="5"/>
      <x:c r="B20" s="5"/>
      <x:c r="C20" s="5"/>
      <x:c r="D20" s="5"/>
      <x:c r="E20" s="5"/>
    </x:row>
    <x:row r="21" ht="30" customHeight="1">
      <x:c r="A21" s="5" t="str">
        <x:v>Prepaid recurring net cost above is years 1–5, before any homeowner REC income. After buyout, subtract the REC monthly average only if REC rights transfer. The $1,000 buyout remains a separate cash payment.</x:v>
      </x:c>
      <x:c r="B21" s="5"/>
      <x:c r="C21" s="5"/>
      <x:c r="D21" s="5"/>
      <x:c r="E21" s="5"/>
    </x:row>
    <x:row r="22" ht="30" customHeight="1">
      <x:c r="A22" s="5"/>
      <x:c r="B22" s="5"/>
      <x:c r="C22" s="5"/>
      <x:c r="D22" s="5"/>
      <x:c r="E22" s="5"/>
    </x:row>
    <x:row r="23" ht="30" customHeight="1">
      <x:c r="A23" s="5"/>
      <x:c r="B23" s="5"/>
      <x:c r="C23" s="5"/>
      <x:c r="D23" s="5"/>
      <x:c r="E23" s="5"/>
    </x:row>
    <x:row r="24" ht="30" customHeight="1">
      <x:c r="A24" s="5" t="str">
        <x:v>Traditional lease assumes no escalator and no homeowner RECs. Payments shown after year 10 are not a termination quote. Financing fees, maintenance, insurance, replacements and transfer charges are excluded.</x:v>
      </x:c>
      <x:c r="B24" s="5"/>
      <x:c r="C24" s="5"/>
      <x:c r="D24" s="5"/>
      <x:c r="E24" s="5"/>
    </x:row>
    <x:row r="25" ht="30" customHeight="1">
      <x:c r="A25" s="5"/>
      <x:c r="B25" s="5"/>
      <x:c r="C25" s="5"/>
      <x:c r="D25" s="5"/>
      <x:c r="E25" s="5"/>
    </x:row>
    <x:row r="26" ht="30" customHeight="1">
      <x:c r="A26" s="5"/>
      <x:c r="B26" s="5"/>
      <x:c r="C26" s="5"/>
      <x:c r="D26" s="5"/>
      <x:c r="E26" s="5"/>
    </x:row>
  </x:sheetData>
  <x:mergeCells>
    <x:mergeCell ref="A1:E1"/>
    <x:mergeCell ref="A2:E3"/>
    <x:mergeCell ref="A21:E22"/>
    <x:mergeCell ref="A24:E2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0" hidden="0" customWidth="1"/>
    <x:col min="3" max="3" width="49" hidden="0" customWidth="1"/>
    <x:col min="4" max="4" width="49" hidden="0" customWidth="1"/>
  </x:cols>
  <x:sheetData>
    <x:row r="1" ht="30" customHeight="1">
      <x:c r="A1" s="4" t="str">
        <x:v>Production and billing sensitivity</x:v>
      </x:c>
      <x:c r="B1" s="4"/>
      <x:c r="C1" s="4"/>
      <x:c r="D1" s="4"/>
    </x:row>
    <x:row r="2" ht="30" customHeight="1">
      <x:c r="A2" s="5" t="str">
        <x:v>Illustrative scenarios only. These values are not a property-specific forecast. The system size stays fixed while generation changes.</x:v>
      </x:c>
      <x:c r="B2" s="5"/>
      <x:c r="C2" s="5"/>
      <x:c r="D2" s="5"/>
    </x:row>
    <x:row r="3" ht="30" customHeight="1">
      <x:c r="A3" s="5"/>
      <x:c r="B3" s="5"/>
      <x:c r="C3" s="5"/>
      <x:c r="D3" s="5"/>
    </x:row>
    <x:row r="4" ht="30" customHeight="1">
      <x:c r="A4" s="2"/>
      <x:c r="B4" s="2"/>
      <x:c r="C4" s="2"/>
      <x:c r="D4" s="2"/>
    </x:row>
    <x:row r="5" ht="30" customHeight="1">
      <x:c r="A5" s="8" t="str">
        <x:v>Production factor (kWh/W/year)</x:v>
      </x:c>
      <x:c r="B5" s="8" t="str">
        <x:v>Generation (kWh/year)</x:v>
      </x:c>
      <x:c r="C5" s="8" t="str">
        <x:v>Annual generation / use</x:v>
      </x:c>
      <x:c r="D5" s="8" t="str">
        <x:v>Meaning</x:v>
      </x:c>
    </x:row>
    <x:row r="6" ht="30" customHeight="1">
      <x:c r="A6" s="9" t="n">
        <x:v>1.2</x:v>
      </x:c>
      <x:c r="B6" s="5" t="n">
        <x:f>Estimate!B7*1000*A6</x:f>
        <x:v>8976</x:v>
      </x:c>
      <x:c r="C6" s="22" t="n">
        <x:f>B6/Inputs!B6</x:f>
        <x:v>1.0144665461121158</x:v>
      </x:c>
      <x:c r="D6" s="5" t="str">
        <x:v>Current south/minimal-shade factor</x:v>
      </x:c>
    </x:row>
    <x:row r="7" ht="30" customHeight="1">
      <x:c r="A7" s="9" t="n">
        <x:v>1</x:v>
      </x:c>
      <x:c r="B7" s="5" t="n">
        <x:f>Estimate!B7*1000*A7</x:f>
        <x:v>7480</x:v>
      </x:c>
      <x:c r="C7" s="22" t="n">
        <x:f>B7/Inputs!B6</x:f>
        <x:v>0.8453887884267631</x:v>
      </x:c>
      <x:c r="D7" s="5" t="str">
        <x:v>Illustrative lower-production scenario</x:v>
      </x:c>
    </x:row>
    <x:row r="8" ht="30" customHeight="1">
      <x:c r="A8" s="9" t="n">
        <x:v>0.8</x:v>
      </x:c>
      <x:c r="B8" s="5" t="n">
        <x:f>Estimate!B7*1000*A8</x:f>
        <x:v>5984</x:v>
      </x:c>
      <x:c r="C8" s="22" t="n">
        <x:f>B8/Inputs!B6</x:f>
        <x:v>0.6763110307414105</x:v>
      </x:c>
      <x:c r="D8" s="5" t="str">
        <x:v>Illustrative lower-production scenario</x:v>
      </x:c>
    </x:row>
    <x:row r="9" ht="30" customHeight="1">
      <x:c r="A9" s="5"/>
      <x:c r="B9" s="5"/>
      <x:c r="C9" s="5"/>
      <x:c r="D9" s="5"/>
    </x:row>
    <x:row r="10" ht="30" customHeight="1">
      <x:c r="A10" s="5"/>
      <x:c r="B10" s="5"/>
      <x:c r="C10" s="5"/>
      <x:c r="D10" s="5"/>
    </x:row>
    <x:row r="11" ht="48" customHeight="1">
      <x:c r="A11" s="23" t="str">
        <x:v>Residual variable bill ($/month)</x:v>
      </x:c>
      <x:c r="B11" s="23" t="str">
        <x:v>Net monthly solar cost including RECs</x:v>
      </x:c>
      <x:c r="C11" s="23" t="str">
        <x:v>Monthly savings including RECs</x:v>
      </x:c>
      <x:c r="D11" s="23" t="str">
        <x:v>Meaning</x:v>
      </x:c>
    </x:row>
    <x:row r="12" ht="48" customHeight="1">
      <x:c r="A12" s="24" t="n">
        <x:v>0</x:v>
      </x:c>
      <x:c r="B12" s="21" t="n">
        <x:f>Estimate!B12+Inputs!B12+A12-Estimate!B15</x:f>
        <x:v>183.5126681340924</x:v>
      </x:c>
      <x:c r="C12" s="21" t="n">
        <x:f>Estimate!B11-B12</x:f>
        <x:v>26.77707586590762</x:v>
      </x:c>
      <x:c r="D12" s="5" t="str">
        <x:v>Current full-offset baseline</x:v>
      </x:c>
    </x:row>
    <x:row r="13" ht="48" customHeight="1">
      <x:c r="A13" s="24" t="n">
        <x:v>20</x:v>
      </x:c>
      <x:c r="B13" s="21" t="n">
        <x:f>Estimate!B12+Inputs!B12+A13-Estimate!B15</x:f>
        <x:v>203.5126681340924</x:v>
      </x:c>
      <x:c r="C13" s="21" t="n">
        <x:f>Estimate!B11-B13</x:f>
        <x:v>6.777075865907619</x:v>
      </x:c>
      <x:c r="D13" s="5" t="str">
        <x:v>Sensitivity only</x:v>
      </x:c>
    </x:row>
    <x:row r="14" ht="48" customHeight="1">
      <x:c r="A14" s="24" t="n">
        <x:v>40</x:v>
      </x:c>
      <x:c r="B14" s="21" t="n">
        <x:f>Estimate!B12+Inputs!B12+A14-Estimate!B15</x:f>
        <x:v>223.5126681340924</x:v>
      </x:c>
      <x:c r="C14" s="21" t="n">
        <x:f>Estimate!B11-B14</x:f>
        <x:v>-13.22292413409238</x:v>
      </x:c>
      <x:c r="D14" s="5" t="str">
        <x:v>Sensitivity only</x:v>
      </x:c>
    </x:row>
    <x:row r="15" ht="48" customHeight="1">
      <x:c r="A15" s="24" t="n">
        <x:v>60</x:v>
      </x:c>
      <x:c r="B15" s="21" t="n">
        <x:f>Estimate!B12+Inputs!B12+A15-Estimate!B15</x:f>
        <x:v>243.5126681340924</x:v>
      </x:c>
      <x:c r="C15" s="21" t="n">
        <x:f>Estimate!B11-B15</x:f>
        <x:v>-33.22292413409238</x:v>
      </x:c>
      <x:c r="D15" s="5" t="str">
        <x:v>Sensitivity only</x:v>
      </x:c>
    </x:row>
    <x:row r="16" ht="30" customHeight="1">
      <x:c r="A16" s="5"/>
      <x:c r="B16" s="5"/>
      <x:c r="C16" s="5"/>
      <x:c r="D16" s="5"/>
    </x:row>
    <x:row r="17" ht="30" customHeight="1">
      <x:c r="A17" s="5"/>
      <x:c r="B17" s="5"/>
      <x:c r="C17" s="5"/>
      <x:c r="D17" s="5"/>
    </x:row>
    <x:row r="18" ht="30" customHeight="1">
      <x:c r="A18" s="5" t="str">
        <x:v>For a billing validation, obtain 12 monthly usage bills, the customer’s supplier/rate class and net-metering eligibility, plus an installer or PVWatts monthly generation estimate. Model import/export treatment by month, including non-bypassable charges.</x:v>
      </x:c>
      <x:c r="B18" s="5"/>
      <x:c r="C18" s="5"/>
      <x:c r="D18" s="5"/>
    </x:row>
    <x:row r="19" ht="30" customHeight="1">
      <x:c r="A19" s="5"/>
      <x:c r="B19" s="5"/>
      <x:c r="C19" s="5"/>
      <x:c r="D19" s="5"/>
    </x:row>
    <x:row r="20" ht="30" customHeight="1">
      <x:c r="A20" s="5"/>
      <x:c r="B20" s="5"/>
      <x:c r="C20" s="5"/>
      <x:c r="D20" s="5"/>
    </x:row>
    <x:row r="21" ht="30" customHeight="1">
      <x:c r="A21" s="5" t="str">
        <x:v>Eversource’s net-metering page distinguishes imported energy from net sales. For applicable small generators, net sales receive energy service, transmission and 25% of distribution components. Annual generation equal to use therefore does not justify assuming a zero variable bill.</x:v>
      </x:c>
      <x:c r="B21" s="5"/>
      <x:c r="C21" s="5"/>
      <x:c r="D21" s="5"/>
    </x:row>
    <x:row r="22" ht="30" customHeight="1">
      <x:c r="A22" s="5"/>
      <x:c r="B22" s="5"/>
      <x:c r="C22" s="5"/>
      <x:c r="D22" s="5"/>
    </x:row>
    <x:row r="23" ht="30" customHeight="1">
      <x:c r="A23" s="5"/>
      <x:c r="B23" s="5"/>
      <x:c r="C23" s="5"/>
      <x:c r="D23" s="5"/>
    </x:row>
    <x:row r="24" ht="30" customHeight="1">
      <x:c r="A24" s="5" t="str">
        <x:v>The 1.2 factor is a screening assumption. Validate actual location, tilt, azimuth, shading, losses, snow and equipment with an installer production report or PVWatts.</x:v>
      </x:c>
      <x:c r="B24" s="5"/>
      <x:c r="C24" s="5"/>
      <x:c r="D24" s="5"/>
    </x:row>
    <x:row r="25" ht="30" customHeight="1">
      <x:c r="A25" s="5"/>
      <x:c r="B25" s="5"/>
      <x:c r="C25" s="5"/>
      <x:c r="D25" s="5"/>
    </x:row>
  </x:sheetData>
  <x:mergeCells>
    <x:mergeCell ref="A1:D1"/>
    <x:mergeCell ref="A2:D3"/>
    <x:mergeCell ref="A18:D19"/>
    <x:mergeCell ref="A21:D22"/>
    <x:mergeCell ref="A24:D2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0" hidden="0" customWidth="1"/>
    <x:col min="3" max="3" width="49" hidden="0" customWidth="1"/>
    <x:col min="4" max="4" width="49" hidden="0" customWidth="1"/>
  </x:cols>
  <x:sheetData>
    <x:row r="1" ht="30" customHeight="1">
      <x:c r="A1" s="4" t="str">
        <x:v>Sources and pricing evidence</x:v>
      </x:c>
      <x:c r="B1" s="4"/>
      <x:c r="C1" s="4"/>
      <x:c r="D1" s="4"/>
    </x:row>
    <x:row r="2" ht="30" customHeight="1">
      <x:c r="A2" s="5" t="str">
        <x:v>Reviewed September 25, 2026. Source dates and verification limits are stated below. User-selected inputs remain unchanged where evidence differs or is missing.</x:v>
      </x:c>
      <x:c r="B2" s="5"/>
      <x:c r="C2" s="5"/>
      <x:c r="D2" s="5"/>
    </x:row>
    <x:row r="3" ht="30" customHeight="1">
      <x:c r="A3" s="5"/>
      <x:c r="B3" s="5"/>
      <x:c r="C3" s="5"/>
      <x:c r="D3" s="5"/>
    </x:row>
    <x:row r="4" ht="30" customHeight="1">
      <x:c r="A4" s="2"/>
      <x:c r="B4" s="2"/>
      <x:c r="C4" s="2"/>
      <x:c r="D4" s="2"/>
    </x:row>
    <x:row r="5" ht="30" customHeight="1">
      <x:c r="A5" s="8" t="str">
        <x:v>Source / assumption</x:v>
      </x:c>
      <x:c r="B5" s="8" t="str">
        <x:v>Date or vintage</x:v>
      </x:c>
      <x:c r="C5" s="8" t="str">
        <x:v>Finding</x:v>
      </x:c>
      <x:c r="D5" s="8" t="str">
        <x:v>Source URL or document needed</x:v>
      </x:c>
    </x:row>
    <x:row r="6" ht="90" customHeight="1">
      <x:c r="A6" s="5" t="str">
        <x:v>Eversource residential Rate R</x:v>
      </x:c>
      <x:c r="B6" s="25" t="n">
        <x:v>46235.5</x:v>
      </x:c>
      <x:c r="C6" s="5" t="str">
        <x:v>Published customer charge $19.81; variable components total 25.918 cents/kWh. This differs from selected 25.8336 cents.</x:v>
      </x:c>
      <x:c r="D6" s="5" t="str">
        <x:v>https://www.eversource.com/docs/default-source/rates-tariffs/nh-summary-rates.pdf</x:v>
      </x:c>
    </x:row>
    <x:row r="7" ht="90" customHeight="1">
      <x:c r="A7" s="5" t="str">
        <x:v>Selected combined rate</x:v>
      </x:c>
      <x:c r="B7" s="5" t="str">
        <x:v>User selection</x:v>
      </x:c>
      <x:c r="C7" s="5" t="str">
        <x:v>25.8336 cents = supply 14.0086 + delivery 11.825. This split was derived to match the selected total, not verified from a bill.</x:v>
      </x:c>
      <x:c r="D7" s="5" t="str">
        <x:v>Supply the customer bill and applicable rate schedule.</x:v>
      </x:c>
    </x:row>
    <x:row r="8" ht="90" customHeight="1">
      <x:c r="A8" s="5" t="str">
        <x:v>Rye Community Power rate notice</x:v>
      </x:c>
      <x:c r="B8" s="25" t="n">
        <x:v>46230.5</x:v>
      </x:c>
      <x:c r="C8" s="5" t="str">
        <x:v>Town notice states Granite Basic rises to 14.949 cents on August 1, 2026. Supplier choice affects the rate.</x:v>
      </x:c>
      <x:c r="D8" s="5" t="str">
        <x:v>https://www.ryenh.gov/m/newsflash/home/detail/29</x:v>
      </x:c>
    </x:row>
    <x:row r="9" ht="90" customHeight="1">
      <x:c r="A9" s="5" t="str">
        <x:v>Eversource NH net metering</x:v>
      </x:c>
      <x:c r="B9" s="5" t="str">
        <x:v>Accessed 2026-09-25</x:v>
      </x:c>
      <x:c r="C9" s="5" t="str">
        <x:v>Import/export billing rules require separate validation; full annual energy offset does not prove full bill offset.</x:v>
      </x:c>
      <x:c r="D9" s="5" t="str">
        <x:v>https://www.eversource.com/residential/about/doing-business-with-us/interconnections/new-hampshire/new-hampshire-net-metering</x:v>
      </x:c>
    </x:row>
    <x:row r="10" ht="90" customHeight="1">
      <x:c r="A10" s="5" t="str">
        <x:v>CPCNH REC program</x:v>
      </x:c>
      <x:c r="B10" s="5" t="str">
        <x:v>Accessed 2026-09-25</x:v>
      </x:c>
      <x:c r="C10" s="5" t="str">
        <x:v>Requires NH-certified RECs. Prices/vintages updated annually. $33 price could not be confirmed in the available price-table content.</x:v>
      </x:c>
      <x:c r="D10" s="5" t="str">
        <x:v>https://www.communitypowernh.gov/services/renewable-energy-certificates</x:v>
      </x:c>
    </x:row>
    <x:row r="11" ht="90" customHeight="1">
      <x:c r="A11" s="5" t="str">
        <x:v>Installed price $2.85/W</x:v>
      </x:c>
      <x:c r="B11" s="5" t="str">
        <x:v>Quote not supplied</x:v>
      </x:c>
      <x:c r="C11" s="5" t="str">
        <x:v>User-selected value retained. No dated scope, equipment, exclusions or provider quote available.</x:v>
      </x:c>
      <x:c r="D11" s="5" t="str">
        <x:v>Dated installer quote required.</x:v>
      </x:c>
    </x:row>
    <x:row r="12" ht="90" customHeight="1">
      <x:c r="A12" s="5" t="str">
        <x:v>Prepaid $18,922; buyout $1,000</x:v>
      </x:c>
      <x:c r="B12" s="5" t="str">
        <x:v>Contract not supplied</x:v>
      </x:c>
      <x:c r="C12" s="5" t="str">
        <x:v>Illustrative amounts retained. Confirm year-five buyout right/price and REC transfer.</x:v>
      </x:c>
      <x:c r="D12" s="5" t="str">
        <x:v>Dated prepaid proposal and contract required.</x:v>
      </x:c>
    </x:row>
    <x:row r="13" ht="90" customHeight="1">
      <x:c r="A13" s="5" t="str">
        <x:v>Lease $130/month; loan 6.5%/15 years</x:v>
      </x:c>
      <x:c r="B13" s="5" t="str">
        <x:v>Quote not supplied</x:v>
      </x:c>
      <x:c r="C13" s="5" t="str">
        <x:v>Illustrative terms only; fees, escalators, collateral and payoff/transfer terms unverified.</x:v>
      </x:c>
      <x:c r="D13" s="5" t="str">
        <x:v>Dated loan and lease offers required.</x:v>
      </x:c>
    </x:row>
    <x:row r="14" ht="90" customHeight="1">
      <x:c r="A14" s="5" t="str">
        <x:v>PVWatts model documentation</x:v>
      </x:c>
      <x:c r="B14" s="5" t="str">
        <x:v>Accessed 2026-09-25</x:v>
      </x:c>
      <x:c r="C14" s="5" t="str">
        <x:v>Location, system rating, tilt, azimuth and losses are required to validate generation. No property-specific run has been provided.</x:v>
      </x:c>
      <x:c r="D14" s="5" t="str">
        <x:v>https://developer.nlr.gov/docs/solar/pvwatts/</x:v>
      </x:c>
    </x:row>
    <x:row r="15" ht="30" customHeight="1">
      <x:c r="A15" s="5"/>
      <x:c r="B15" s="5"/>
      <x:c r="C15" s="5"/>
      <x:c r="D15" s="5"/>
    </x:row>
    <x:row r="16" ht="30" customHeight="1">
      <x:c r="A16" s="5"/>
      <x:c r="B16" s="5"/>
      <x:c r="C16" s="5"/>
      <x:c r="D16" s="5"/>
    </x:row>
    <x:row r="17" ht="30" customHeight="1">
      <x:c r="A17" s="23" t="str">
        <x:v>Rate R component</x:v>
      </x:c>
      <x:c r="B17" s="23" t="str">
        <x:v>cents/kWh</x:v>
      </x:c>
      <x:c r="C17" s="23"/>
      <x:c r="D17" s="23"/>
    </x:row>
    <x:row r="18" ht="30" customHeight="1">
      <x:c r="A18" s="5" t="str">
        <x:v>Distribution</x:v>
      </x:c>
      <x:c r="B18" s="26" t="n">
        <x:v>6.727</x:v>
      </x:c>
      <x:c r="C18" s="5"/>
      <x:c r="D18" s="5"/>
    </x:row>
    <x:row r="19" ht="30" customHeight="1">
      <x:c r="A19" s="5" t="str">
        <x:v>Transmission</x:v>
      </x:c>
      <x:c r="B19" s="26" t="n">
        <x:v>4.445</x:v>
      </x:c>
      <x:c r="C19" s="5"/>
      <x:c r="D19" s="5"/>
    </x:row>
    <x:row r="20" ht="30" customHeight="1">
      <x:c r="A20" s="5" t="str">
        <x:v>Stranded cost recovery</x:v>
      </x:c>
      <x:c r="B20" s="26" t="n">
        <x:v>-0.148</x:v>
      </x:c>
      <x:c r="C20" s="5"/>
      <x:c r="D20" s="5"/>
    </x:row>
    <x:row r="21" ht="30" customHeight="1">
      <x:c r="A21" s="5" t="str">
        <x:v>System benefits</x:v>
      </x:c>
      <x:c r="B21" s="26" t="n">
        <x:v>0.618</x:v>
      </x:c>
      <x:c r="C21" s="5"/>
      <x:c r="D21" s="5"/>
    </x:row>
    <x:row r="22" ht="30" customHeight="1">
      <x:c r="A22" s="5" t="str">
        <x:v>Regulatory reconciliation</x:v>
      </x:c>
      <x:c r="B22" s="26" t="n">
        <x:v>0.296</x:v>
      </x:c>
      <x:c r="C22" s="5"/>
      <x:c r="D22" s="5"/>
    </x:row>
    <x:row r="23" ht="30" customHeight="1">
      <x:c r="A23" s="5" t="str">
        <x:v>Pole plant adjustment</x:v>
      </x:c>
      <x:c r="B23" s="26" t="n">
        <x:v>-0.029</x:v>
      </x:c>
      <x:c r="C23" s="5"/>
      <x:c r="D23" s="5"/>
    </x:row>
    <x:row r="24" ht="30" customHeight="1">
      <x:c r="A24" s="5" t="str">
        <x:v>Energy</x:v>
      </x:c>
      <x:c r="B24" s="26" t="n">
        <x:v>14.009</x:v>
      </x:c>
      <x:c r="C24" s="5"/>
      <x:c r="D24" s="5"/>
    </x:row>
    <x:row r="25" ht="30" customHeight="1">
      <x:c r="A25" s="5" t="str">
        <x:v>Published component total</x:v>
      </x:c>
      <x:c r="B25" s="27" t="n">
        <x:f>SUM(B18:B24)</x:f>
        <x:v>25.918</x:v>
      </x:c>
      <x:c r="C25" s="5"/>
      <x:c r="D25" s="5"/>
    </x:row>
    <x:row r="26" ht="30" customHeight="1">
      <x:c r="A26" s="5" t="str">
        <x:v>Selected rate</x:v>
      </x:c>
      <x:c r="B26" s="27" t="n">
        <x:f>Inputs!B11*100</x:f>
        <x:v>25.8336</x:v>
      </x:c>
      <x:c r="C26" s="5"/>
      <x:c r="D26" s="5"/>
    </x:row>
    <x:row r="27" ht="30" customHeight="1">
      <x:c r="A27" s="5" t="str">
        <x:v>Difference, cents/kWh</x:v>
      </x:c>
      <x:c r="B27" s="27" t="n">
        <x:f>B25-B26</x:f>
        <x:v>0.0843999999999987</x:v>
      </x:c>
      <x:c r="C27" s="5"/>
      <x:c r="D27" s="5"/>
    </x:row>
    <x:row r="28" ht="30" customHeight="1">
      <x:c r="A28" s="5" t="str">
        <x:v>Monthly baseline difference, dollars</x:v>
      </x:c>
      <x:c r="B28" s="16" t="n">
        <x:f>B27/100*Inputs!B6/12</x:f>
        <x:v>0.6223093333333237</x:v>
      </x:c>
      <x:c r="C28" s="5"/>
      <x:c r="D28" s="5"/>
    </x:row>
    <x:row r="29" ht="30" customHeight="1">
      <x:c r="A29" s="5"/>
      <x:c r="B29" s="5"/>
      <x:c r="C29" s="5"/>
      <x:c r="D29" s="5"/>
    </x:row>
    <x:row r="30" ht="30" customHeight="1">
      <x:c r="A30" s="5" t="str">
        <x:v>The published summary rounds components to three decimal places. Confirm the applicable detailed tariff and actual supplier bill before choosing a new rate. This workbook deliberately retains the selected test rate.</x:v>
      </x:c>
      <x:c r="B30" s="5"/>
      <x:c r="C30" s="5"/>
      <x:c r="D30" s="5"/>
    </x:row>
    <x:row r="31" ht="30" customHeight="1">
      <x:c r="A31" s="5"/>
      <x:c r="B31" s="5"/>
      <x:c r="C31" s="5"/>
      <x:c r="D31" s="5"/>
    </x:row>
    <x:row r="32" ht="30" customHeight="1">
      <x:c r="A32" s="5"/>
      <x:c r="B32" s="5"/>
      <x:c r="C32" s="5"/>
      <x:c r="D32" s="5"/>
    </x:row>
  </x:sheetData>
  <x:mergeCells>
    <x:mergeCell ref="A1:D1"/>
    <x:mergeCell ref="A2:D3"/>
    <x:mergeCell ref="A30:D31"/>
  </x:mergeCells>
  <x:pageMargins left="0.7" right="0.7" top="0.75" bottom="0.75" header="0.3" footer="0.3"/>
</x:worksheet>
</file>